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nil" sheetId="1" state="visible" r:id="rId3"/>
    <sheet name="Dashboard" sheetId="2" state="visible" r:id="rId4"/>
    <sheet name="Instruco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<sst xmlns="http://schemas.openxmlformats.org/spreadsheetml/2006/main" count="231" uniqueCount="185">
  <si>
    <t xml:space="preserve">Funil de Vendas — Programa Atena</t>
  </si>
  <si>
    <t xml:space="preserve">Lance um negócio por linha. Os indicadores na aba Dashboard atualizam automaticamente.</t>
  </si>
  <si>
    <t xml:space="preserve">ID</t>
  </si>
  <si>
    <t xml:space="preserve">Empresa</t>
  </si>
  <si>
    <t xml:space="preserve">Empresário</t>
  </si>
  <si>
    <t xml:space="preserve">Cargo</t>
  </si>
  <si>
    <t xml:space="preserve">Setor</t>
  </si>
  <si>
    <t xml:space="preserve">Porte</t>
  </si>
  <si>
    <t xml:space="preserve">Origem</t>
  </si>
  <si>
    <t xml:space="preserve">Etapa atual</t>
  </si>
  <si>
    <t xml:space="preserve">Data de entrada na etapa</t>
  </si>
  <si>
    <t xml:space="preserve">Data do último contato</t>
  </si>
  <si>
    <t xml:space="preserve">Valor potencial (R$)</t>
  </si>
  <si>
    <t xml:space="preserve">Probabilidade (%)</t>
  </si>
  <si>
    <t xml:space="preserve">Valor ponderado (R$)</t>
  </si>
  <si>
    <t xml:space="preserve">Próxima ação</t>
  </si>
  <si>
    <t xml:space="preserve">Prazo da próxima ação</t>
  </si>
  <si>
    <t xml:space="preserve">Responsável</t>
  </si>
  <si>
    <t xml:space="preserve">Observações</t>
  </si>
  <si>
    <t xml:space="preserve">Motivo da perda</t>
  </si>
  <si>
    <t xml:space="preserve">F-001</t>
  </si>
  <si>
    <t xml:space="preserve">Padaria Pão Quente Ltda</t>
  </si>
  <si>
    <t xml:space="preserve">Marina Silva</t>
  </si>
  <si>
    <t xml:space="preserve">Sócia-diretora</t>
  </si>
  <si>
    <t xml:space="preserve">Comércio varejista</t>
  </si>
  <si>
    <t xml:space="preserve">Pequena</t>
  </si>
  <si>
    <t xml:space="preserve">Indicação</t>
  </si>
  <si>
    <t xml:space="preserve">Negociação</t>
  </si>
  <si>
    <t xml:space="preserve">2026-04-10</t>
  </si>
  <si>
    <t xml:space="preserve">2026-05-12</t>
  </si>
  <si>
    <t xml:space="preserve">Enviar contrato final</t>
  </si>
  <si>
    <t xml:space="preserve">2026-05-20</t>
  </si>
  <si>
    <t xml:space="preserve">Ana Souza</t>
  </si>
  <si>
    <t xml:space="preserve">Interessada em pacote anual de apoio jurídico.</t>
  </si>
  <si>
    <t xml:space="preserve">F-002</t>
  </si>
  <si>
    <t xml:space="preserve">Construção Boa Vista</t>
  </si>
  <si>
    <t xml:space="preserve">Carlos Mendes</t>
  </si>
  <si>
    <t xml:space="preserve">Diretor financeiro</t>
  </si>
  <si>
    <t xml:space="preserve">Materiais de construção</t>
  </si>
  <si>
    <t xml:space="preserve">Média</t>
  </si>
  <si>
    <t xml:space="preserve">Evento</t>
  </si>
  <si>
    <t xml:space="preserve">Proposta</t>
  </si>
  <si>
    <t xml:space="preserve">2026-04-25</t>
  </si>
  <si>
    <t xml:space="preserve">2026-05-08</t>
  </si>
  <si>
    <t xml:space="preserve">Agendar reunião para apresentar proposta revisada</t>
  </si>
  <si>
    <t xml:space="preserve">2026-05-22</t>
  </si>
  <si>
    <t xml:space="preserve">Pediu revisão de prazos de pagamento.</t>
  </si>
  <si>
    <t xml:space="preserve">F-003</t>
  </si>
  <si>
    <t xml:space="preserve">Restaurante Sabor do Campo</t>
  </si>
  <si>
    <t xml:space="preserve">Júlia Pereira</t>
  </si>
  <si>
    <t xml:space="preserve">Proprietária</t>
  </si>
  <si>
    <t xml:space="preserve">Alimentação</t>
  </si>
  <si>
    <t xml:space="preserve">Cold call</t>
  </si>
  <si>
    <t xml:space="preserve">Qualificado</t>
  </si>
  <si>
    <t xml:space="preserve">2026-05-01</t>
  </si>
  <si>
    <t xml:space="preserve">2026-05-13</t>
  </si>
  <si>
    <t xml:space="preserve">Enviar material sobre apoio trabalhista</t>
  </si>
  <si>
    <t xml:space="preserve">2026-05-18</t>
  </si>
  <si>
    <t xml:space="preserve">Bruno Lima</t>
  </si>
  <si>
    <t xml:space="preserve">F-004</t>
  </si>
  <si>
    <t xml:space="preserve">Auto Peças do Vale</t>
  </si>
  <si>
    <t xml:space="preserve">Rogério Antunes</t>
  </si>
  <si>
    <t xml:space="preserve">Sócio</t>
  </si>
  <si>
    <t xml:space="preserve">Autopeças</t>
  </si>
  <si>
    <t xml:space="preserve">Inbound</t>
  </si>
  <si>
    <t xml:space="preserve">Contato</t>
  </si>
  <si>
    <t xml:space="preserve">2026-05-05</t>
  </si>
  <si>
    <t xml:space="preserve">2026-05-10</t>
  </si>
  <si>
    <t xml:space="preserve">Ligar para qualificar dor financeira</t>
  </si>
  <si>
    <t xml:space="preserve">2026-05-19</t>
  </si>
  <si>
    <t xml:space="preserve">Acessou o autodiagnóstico do site Atena.</t>
  </si>
  <si>
    <t xml:space="preserve">F-005</t>
  </si>
  <si>
    <t xml:space="preserve">Mercado Bairro Novo</t>
  </si>
  <si>
    <t xml:space="preserve">Felipe Costa</t>
  </si>
  <si>
    <t xml:space="preserve">Gerente geral</t>
  </si>
  <si>
    <t xml:space="preserve">Supermercado</t>
  </si>
  <si>
    <t xml:space="preserve">Lead</t>
  </si>
  <si>
    <t xml:space="preserve">2026-05-11</t>
  </si>
  <si>
    <t xml:space="preserve">Fazer primeiro contato por WhatsApp</t>
  </si>
  <si>
    <t xml:space="preserve">2026-05-17</t>
  </si>
  <si>
    <t xml:space="preserve">F-006</t>
  </si>
  <si>
    <t xml:space="preserve">Farmácia Vida Plena</t>
  </si>
  <si>
    <t xml:space="preserve">Luciana Rocha</t>
  </si>
  <si>
    <t xml:space="preserve">Farmácia</t>
  </si>
  <si>
    <t xml:space="preserve">Micro</t>
  </si>
  <si>
    <t xml:space="preserve">Fechado</t>
  </si>
  <si>
    <t xml:space="preserve">2026-03-15</t>
  </si>
  <si>
    <t xml:space="preserve">2026-04-22</t>
  </si>
  <si>
    <t xml:space="preserve">Iniciar onboarding</t>
  </si>
  <si>
    <t xml:space="preserve">2026-05-25</t>
  </si>
  <si>
    <t xml:space="preserve">Assinou plano anual. Caso de sucesso em potencial.</t>
  </si>
  <si>
    <t xml:space="preserve">F-007</t>
  </si>
  <si>
    <t xml:space="preserve">Distribuidora Central Sul</t>
  </si>
  <si>
    <t xml:space="preserve">Marcos Tavares</t>
  </si>
  <si>
    <t xml:space="preserve">Diretor comercial</t>
  </si>
  <si>
    <t xml:space="preserve">Distribuição</t>
  </si>
  <si>
    <t xml:space="preserve">Perdido</t>
  </si>
  <si>
    <t xml:space="preserve">2026-04-02</t>
  </si>
  <si>
    <t xml:space="preserve">2026-04-30</t>
  </si>
  <si>
    <t xml:space="preserve">Reabrir em 90 dias</t>
  </si>
  <si>
    <t xml:space="preserve">2026-07-30</t>
  </si>
  <si>
    <t xml:space="preserve">Sem orçamento neste ciclo</t>
  </si>
  <si>
    <t xml:space="preserve">F-008</t>
  </si>
  <si>
    <t xml:space="preserve">Loja de Roupas Estilo</t>
  </si>
  <si>
    <t xml:space="preserve">Ana Beatriz Lopes</t>
  </si>
  <si>
    <t xml:space="preserve">Sócia</t>
  </si>
  <si>
    <t xml:space="preserve">Vestuário</t>
  </si>
  <si>
    <t xml:space="preserve">2026-05-03</t>
  </si>
  <si>
    <t xml:space="preserve">Enviar proposta resumida</t>
  </si>
  <si>
    <t xml:space="preserve">Dashboard — Funil de Vendas</t>
  </si>
  <si>
    <t xml:space="preserve">Indicadores calculados automaticamente a partir da aba Funil.</t>
  </si>
  <si>
    <t xml:space="preserve">Negócios em aberto</t>
  </si>
  <si>
    <t xml:space="preserve">Pipeline total (R$)</t>
  </si>
  <si>
    <t xml:space="preserve">Pipeline ponderado (R$)</t>
  </si>
  <si>
    <t xml:space="preserve">Negócios fechados</t>
  </si>
  <si>
    <t xml:space="preserve">Volume e valor por etapa</t>
  </si>
  <si>
    <t xml:space="preserve">Taxas de conversão entre etapas</t>
  </si>
  <si>
    <t xml:space="preserve">Etapa</t>
  </si>
  <si>
    <t xml:space="preserve">Quantidade</t>
  </si>
  <si>
    <t xml:space="preserve">De → Para</t>
  </si>
  <si>
    <t xml:space="preserve">Taxa</t>
  </si>
  <si>
    <t xml:space="preserve">Comentário</t>
  </si>
  <si>
    <t xml:space="preserve">Lead → Contato</t>
  </si>
  <si>
    <t xml:space="preserve">Leads que avançaram para Contato ou além</t>
  </si>
  <si>
    <t xml:space="preserve">Contato → Qualificado</t>
  </si>
  <si>
    <t xml:space="preserve">Contatos que viraram Qualificado ou além</t>
  </si>
  <si>
    <t xml:space="preserve">Qualificado → Proposta</t>
  </si>
  <si>
    <t xml:space="preserve">Qualificados que receberam Proposta ou avançaram</t>
  </si>
  <si>
    <t xml:space="preserve">Proposta → Negociação</t>
  </si>
  <si>
    <t xml:space="preserve">Propostas que entraram em Negociação ou fecharam</t>
  </si>
  <si>
    <t xml:space="preserve">Negociação → Fechado</t>
  </si>
  <si>
    <t xml:space="preserve">Negociações que efetivamente fecharam</t>
  </si>
  <si>
    <t xml:space="preserve">Fechamento global (Lead → Fechado)</t>
  </si>
  <si>
    <t xml:space="preserve">Conversão de ponta a ponta do funil ativo</t>
  </si>
  <si>
    <t xml:space="preserve">Total</t>
  </si>
  <si>
    <t xml:space="preserve">Resumo de perdas (motivo)</t>
  </si>
  <si>
    <t xml:space="preserve">Motivo</t>
  </si>
  <si>
    <t xml:space="preserve">Sem fit com o serviço</t>
  </si>
  <si>
    <t xml:space="preserve">Concorrente escolhido</t>
  </si>
  <si>
    <t xml:space="preserve">Não respondeu mais</t>
  </si>
  <si>
    <t xml:space="preserve">Decisor mudou</t>
  </si>
  <si>
    <t xml:space="preserve">Outro</t>
  </si>
  <si>
    <t xml:space="preserve">Instruções de uso</t>
  </si>
  <si>
    <t xml:space="preserve">Programa Atena · Pilar Comercial · CRM Simplificado</t>
  </si>
  <si>
    <t xml:space="preserve">Como usar</t>
  </si>
  <si>
    <t xml:space="preserve">1. Vá para a aba Funil e lance cada negócio em uma linha.</t>
  </si>
  <si>
    <t xml:space="preserve">2. Preencha as colunas obrigatórias: Empresa, Empresário, Etapa atual, Data de entrada na etapa, Valor potencial, Próxima ação e Prazo.</t>
  </si>
  <si>
    <t xml:space="preserve">3. A coluna Probabilidade e a coluna Valor ponderado são preenchidas automaticamente — não digite nada nelas.</t>
  </si>
  <si>
    <t xml:space="preserve">4. Sempre que um negócio mudar de etapa, atualize as colunas Etapa atual e Data de entrada na etapa.</t>
  </si>
  <si>
    <t xml:space="preserve">5. Se o negócio for perdido, mude a Etapa para Perdido e selecione o Motivo da perda.</t>
  </si>
  <si>
    <t xml:space="preserve">6. Confira a aba Dashboard sempre que quiser ver os indicadores atualizados.</t>
  </si>
  <si>
    <t xml:space="preserve">Definição das 6 etapas do funil</t>
  </si>
  <si>
    <t xml:space="preserve">Quando o negócio entra aqui</t>
  </si>
  <si>
    <t xml:space="preserve">Probabilidade</t>
  </si>
  <si>
    <t xml:space="preserve">Critério para mover para a próxima etapa</t>
  </si>
  <si>
    <t xml:space="preserve">Empresário identificado, com nome e empresa, mas ainda sem contato realizado.</t>
  </si>
  <si>
    <t xml:space="preserve">10%</t>
  </si>
  <si>
    <t xml:space="preserve">Você fez o primeiro toque (WhatsApp, telefone ou e-mail) e ele recebeu.</t>
  </si>
  <si>
    <t xml:space="preserve">Primeiro contato realizado, ainda sem qualificação.</t>
  </si>
  <si>
    <t xml:space="preserve">25%</t>
  </si>
  <si>
    <t xml:space="preserve">Empresário respondeu, demonstrou alguma abertura e topou uma conversa de qualificação.</t>
  </si>
  <si>
    <t xml:space="preserve">Empresário tem dor real, perfil de associado e abertura para conversar sobre os serviços.</t>
  </si>
  <si>
    <t xml:space="preserve">50%</t>
  </si>
  <si>
    <t xml:space="preserve">Aceitou receber uma proposta formal (escrita ou apresentada em reunião).</t>
  </si>
  <si>
    <t xml:space="preserve">Proposta enviada ou apresentada. Empresário tem o material em mãos.</t>
  </si>
  <si>
    <t xml:space="preserve">70%</t>
  </si>
  <si>
    <t xml:space="preserve">Empresário pediu ajustes, mudou de prazo ou começou a discutir condições — entrou em negociação.</t>
  </si>
  <si>
    <t xml:space="preserve">Discussão ativa sobre prazos, valores, escopo ou condições da proposta.</t>
  </si>
  <si>
    <t xml:space="preserve">85%</t>
  </si>
  <si>
    <t xml:space="preserve">Empresário aceitou as condições finais e formalizou a contratação.</t>
  </si>
  <si>
    <t xml:space="preserve">Negócio ganho. Empresário virou associado ou contratou o serviço.</t>
  </si>
  <si>
    <t xml:space="preserve">100%</t>
  </si>
  <si>
    <t xml:space="preserve">Etapa final — nesse momento, inicie o onboarding (ver Material 5).</t>
  </si>
  <si>
    <t xml:space="preserve">Negócio não avançou. Preencha sempre o Motivo da perda.</t>
  </si>
  <si>
    <t xml:space="preserve">0%</t>
  </si>
  <si>
    <t xml:space="preserve">Etapa final. Reabra apenas após 90 dias e somente se houver novo gatilho.</t>
  </si>
  <si>
    <t xml:space="preserve">Tabela técnica (não editar) — usada pelas fórmulas</t>
  </si>
  <si>
    <t xml:space="preserve">Prob.</t>
  </si>
  <si>
    <t xml:space="preserve">Notas e observações importantes</t>
  </si>
  <si>
    <t xml:space="preserve">• A planilha começa com 8 negócios de exemplo (linhas 5-12 da aba Funil) e 18 linhas vazias prontas para preenchimento. Apague as linhas de exemplo antes do uso real.</t>
  </si>
  <si>
    <t xml:space="preserve">• Esta planilha usa 6 etapas (Lead, Contato, Qualificado, Proposta, Negociação, Fechado), enquanto o Playbook Comercial usa 4 etapas mais sintéticas (Lead, Contato Qualificado, Proposta, Fechado). A maior granularidade aqui é proposital para uso operacional do dia a dia.</t>
  </si>
  <si>
    <t xml:space="preserve">• Para adicionar mais linhas além da 30, copie uma linha vazia existente (linhas 25-30) e cole abaixo. As fórmulas e a formatação serão copiadas. Depois, ajuste o intervalo das fórmulas da aba Dashboard (Funil!H5:H30 → Funil!H5:HXX).</t>
  </si>
  <si>
    <t xml:space="preserve">• Para registrar uma perda, mude a Etapa para Perdido e selecione o Motivo da perda. O negócio sai automaticamente do pipeline ativo e entra no Resumo de perdas do Dashboard.</t>
  </si>
  <si>
    <t xml:space="preserve">• A coluna Prazo da próxima ação fica destacada em vermelho automaticamente quando a data está vencida e o negócio ainda não foi Fechado nem Perdido.</t>
  </si>
  <si>
    <t xml:space="preserve">• As probabilidades por etapa são sugestões. Calibre conforme a realidade de conversão da sua entidade após 90 dias de uso.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</si>
</sst>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&quot;R$ &quot;#,##0;[RED]&quot;-R$ &quot;#,##0;\-"/>
    <numFmt numFmtId="167" formatCode="0%"/>
    <numFmt numFmtId="168" formatCode="#,##0"/>
    <numFmt numFmtId="169" formatCode="&quot;R$ &quot;#,##0"/>
    <numFmt numFmtId="170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Calibri"/>
      <family val="0"/>
      <charset val="1"/>
    </font>
    <font>
      <i val="true"/>
      <sz val="11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262626"/>
      <name val="Calibri"/>
      <family val="0"/>
      <charset val="1"/>
    </font>
    <font>
      <sz val="10"/>
      <color rgb="FF1F4E79"/>
      <name val="Calibri"/>
      <family val="0"/>
      <charset val="1"/>
    </font>
    <font>
      <b val="true"/>
      <sz val="20"/>
      <color rgb="FF1F4E79"/>
      <name val="Calibri"/>
      <family val="0"/>
      <charset val="1"/>
    </font>
    <font>
      <b val="true"/>
      <sz val="11"/>
      <color rgb="FF1F4E79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AF2F8"/>
        <bgColor rgb="FFE9ECEF"/>
      </patternFill>
    </fill>
    <fill>
      <patternFill patternType="solid">
        <fgColor rgb="FFF8F9FA"/>
        <bgColor rgb="FFF9F9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b val="1"/>
        <color rgb="FFC00000"/>
        <sz val="11"/>
      </font>
      <fill>
        <patternFill>
          <bgColor rgb="FFF8D7DA"/>
        </patternFill>
      </fill>
    </dxf>
    <dxf>
      <font>
        <name val="Calibri"/>
        <charset val="1"/>
        <family val="0"/>
        <b val="1"/>
        <color rgb="FF548235"/>
        <sz val="11"/>
      </font>
      <fill>
        <patternFill>
          <bgColor rgb="FFD4EDDA"/>
        </patternFill>
      </fill>
    </dxf>
    <dxf>
      <font>
        <name val="Calibri"/>
        <charset val="1"/>
        <family val="0"/>
        <i val="1"/>
        <color rgb="FF6C757D"/>
        <sz val="11"/>
      </font>
      <fill>
        <patternFill>
          <bgColor rgb="FFE9ECEF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D9D9D9"/>
      <rgbColor rgb="FF878787"/>
      <rgbColor rgb="FF9999FF"/>
      <rgbColor rgb="FF993366"/>
      <rgbColor rgb="FFF9F9F9"/>
      <rgbColor rgb="FFEAF2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9ECEF"/>
      <rgbColor rgb="FFD4EDDA"/>
      <rgbColor rgb="FFF8F9FA"/>
      <rgbColor rgb="FF99CCFF"/>
      <rgbColor rgb="FFFF99CC"/>
      <rgbColor rgb="FFCC99FF"/>
      <rgbColor rgb="FFF8D7DA"/>
      <rgbColor rgb="FF4F81BD"/>
      <rgbColor rgb="FF33CCCC"/>
      <rgbColor rgb="FF99CC00"/>
      <rgbColor rgb="FFFFCC00"/>
      <rgbColor rgb="FFFF9900"/>
      <rgbColor rgb="FFFF6600"/>
      <rgbColor rgb="FF6C757D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262626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3.xml"/>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11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Volume por etapa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Dashboard!B9</c:f>
              <c:strCache>
                <c:ptCount val="1"/>
                <c:pt idx="0">
                  <c:v>Quantidade</c:v>
                </c:pt>
              </c:strCache>
            </c:strRef>
          </c:tx>
          <c:spPr>
            <a:solidFill>
              <a:srgbClr val="4F81BD"/>
            </a:solidFill>
            <a:ln w="1260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Dashboard!$A$10:$A$16</c:f>
              <c:strCache>
                <c:ptCount val="7"/>
                <c:pt idx="0">
                  <c:v>Lead</c:v>
                </c:pt>
                <c:pt idx="1">
                  <c:v>Contato</c:v>
                </c:pt>
                <c:pt idx="2">
                  <c:v>Qualificado</c:v>
                </c:pt>
                <c:pt idx="3">
                  <c:v>Proposta</c:v>
                </c:pt>
                <c:pt idx="4">
                  <c:v>Negociação</c:v>
                </c:pt>
                <c:pt idx="5">
                  <c:v>Fechado</c:v>
                </c:pt>
                <c:pt idx="6">
                  <c:v>Perdido</c:v>
                </c:pt>
              </c:strCache>
            </c:strRef>
          </c:cat>
          <c:val>
            <c:numRef>
              <c:f>Dashboard!$B$10:$B$16</c:f>
              <c:numCache>
                <c:formatCode>#,##0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gapWidth val="150"/>
        <c:overlap val="0"/>
        <c:axId val="23612203"/>
        <c:axId val="67524742"/>
      </c:barChart>
      <c:catAx>
        <c:axId val="236122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7524742"/>
        <c:crosses val="autoZero"/>
        <c:auto val="1"/>
        <c:lblAlgn val="ctr"/>
        <c:lblOffset val="100"/>
        <c:noMultiLvlLbl val="0"/>
      </c:catAx>
      <c:valAx>
        <c:axId val="6752474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3612203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19</xdr:row>
      <xdr:rowOff>0</xdr:rowOff>
    </xdr:from>
    <xdr:to>
      <xdr:col>9</xdr:col>
      <xdr:colOff>496080</xdr:colOff>
      <xdr:row>36</xdr:row>
      <xdr:rowOff>1080</xdr:rowOff>
    </xdr:to>
    <xdr:graphicFrame>
      <xdr:nvGraphicFramePr>
        <xdr:cNvPr id="1" name="Chart 1"/>
        <xdr:cNvGraphicFramePr/>
      </xdr:nvGraphicFramePr>
      <xdr:xfrm>
        <a:off x="5638680" y="48672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8" min="8" style="0" width="16"/>
    <col collapsed="false" customWidth="true" hidden="false" outlineLevel="0" max="10" min="9" style="0" width="14"/>
    <col collapsed="false" customWidth="true" hidden="false" outlineLevel="0" max="11" min="11" style="0" width="16"/>
    <col collapsed="false" customWidth="true" hidden="false" outlineLevel="0" max="12" min="12" style="0" width="14"/>
    <col collapsed="false" customWidth="true" hidden="false" outlineLevel="0" max="13" min="13" style="0" width="16"/>
    <col collapsed="false" customWidth="true" hidden="false" outlineLevel="0" max="14" min="14" style="0" width="28"/>
    <col collapsed="false" customWidth="true" hidden="false" outlineLevel="0" max="15" min="15" style="0" width="16"/>
    <col collapsed="false" customWidth="true" hidden="false" outlineLevel="0" max="16" min="16" style="0" width="18"/>
    <col collapsed="false" customWidth="true" hidden="false" outlineLevel="0" max="17" min="17" style="0" width="32"/>
    <col collapsed="false" customWidth="true" hidden="false" outlineLevel="0" max="18" min="18" style="0" width="22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</row>
    <row r="5" customFormat="false" ht="23.85" hidden="false" customHeight="false" outlineLevel="0" collapsed="false">
      <c r="A5" s="4" t="s">
        <v>20</v>
      </c>
      <c r="B5" s="5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6" t="s">
        <v>28</v>
      </c>
      <c r="J5" s="6" t="s">
        <v>29</v>
      </c>
      <c r="K5" s="7" t="n">
        <v>12000</v>
      </c>
      <c r="L5" s="8" t="n">
        <f aca="false">IFERROR(VLOOKUP(H5,Instrucoes!$B$30:$C$36,2,FALSE()),0)</f>
        <v>0.85</v>
      </c>
      <c r="M5" s="7" t="n">
        <f aca="false">IFERROR(K5*L5,0)</f>
        <v>10200</v>
      </c>
      <c r="N5" s="5" t="s">
        <v>30</v>
      </c>
      <c r="O5" s="6" t="s">
        <v>31</v>
      </c>
      <c r="P5" s="4" t="s">
        <v>32</v>
      </c>
      <c r="Q5" s="5" t="s">
        <v>33</v>
      </c>
      <c r="R5" s="4"/>
    </row>
    <row r="6" customFormat="false" ht="23.85" hidden="false" customHeight="false" outlineLevel="0" collapsed="false">
      <c r="A6" s="4" t="s">
        <v>34</v>
      </c>
      <c r="B6" s="5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40</v>
      </c>
      <c r="H6" s="4" t="s">
        <v>41</v>
      </c>
      <c r="I6" s="6" t="s">
        <v>42</v>
      </c>
      <c r="J6" s="6" t="s">
        <v>43</v>
      </c>
      <c r="K6" s="7" t="n">
        <v>25000</v>
      </c>
      <c r="L6" s="8" t="n">
        <f aca="false">IFERROR(VLOOKUP(H6,Instrucoes!$B$30:$C$36,2,FALSE()),0)</f>
        <v>0.7</v>
      </c>
      <c r="M6" s="7" t="n">
        <f aca="false">IFERROR(K6*L6,0)</f>
        <v>17500</v>
      </c>
      <c r="N6" s="5" t="s">
        <v>44</v>
      </c>
      <c r="O6" s="6" t="s">
        <v>45</v>
      </c>
      <c r="P6" s="4" t="s">
        <v>32</v>
      </c>
      <c r="Q6" s="5" t="s">
        <v>46</v>
      </c>
      <c r="R6" s="4"/>
    </row>
    <row r="7" customFormat="false" ht="23.85" hidden="false" customHeight="false" outlineLevel="0" collapsed="false">
      <c r="A7" s="4" t="s">
        <v>47</v>
      </c>
      <c r="B7" s="5" t="s">
        <v>48</v>
      </c>
      <c r="C7" s="4" t="s">
        <v>49</v>
      </c>
      <c r="D7" s="4" t="s">
        <v>50</v>
      </c>
      <c r="E7" s="4" t="s">
        <v>51</v>
      </c>
      <c r="F7" s="4" t="s">
        <v>25</v>
      </c>
      <c r="G7" s="4" t="s">
        <v>52</v>
      </c>
      <c r="H7" s="4" t="s">
        <v>53</v>
      </c>
      <c r="I7" s="6" t="s">
        <v>54</v>
      </c>
      <c r="J7" s="6" t="s">
        <v>55</v>
      </c>
      <c r="K7" s="7" t="n">
        <v>8000</v>
      </c>
      <c r="L7" s="8" t="n">
        <f aca="false">IFERROR(VLOOKUP(H7,Instrucoes!$B$30:$C$36,2,FALSE()),0)</f>
        <v>0.5</v>
      </c>
      <c r="M7" s="7" t="n">
        <f aca="false">IFERROR(K7*L7,0)</f>
        <v>4000</v>
      </c>
      <c r="N7" s="5" t="s">
        <v>56</v>
      </c>
      <c r="O7" s="6" t="s">
        <v>57</v>
      </c>
      <c r="P7" s="4" t="s">
        <v>58</v>
      </c>
      <c r="Q7" s="5"/>
      <c r="R7" s="4"/>
    </row>
    <row r="8" customFormat="false" ht="23.85" hidden="false" customHeight="false" outlineLevel="0" collapsed="false">
      <c r="A8" s="4" t="s">
        <v>59</v>
      </c>
      <c r="B8" s="5" t="s">
        <v>60</v>
      </c>
      <c r="C8" s="4" t="s">
        <v>61</v>
      </c>
      <c r="D8" s="4" t="s">
        <v>62</v>
      </c>
      <c r="E8" s="4" t="s">
        <v>63</v>
      </c>
      <c r="F8" s="4" t="s">
        <v>25</v>
      </c>
      <c r="G8" s="4" t="s">
        <v>64</v>
      </c>
      <c r="H8" s="4" t="s">
        <v>65</v>
      </c>
      <c r="I8" s="6" t="s">
        <v>66</v>
      </c>
      <c r="J8" s="6" t="s">
        <v>67</v>
      </c>
      <c r="K8" s="7" t="n">
        <v>6000</v>
      </c>
      <c r="L8" s="8" t="n">
        <f aca="false">IFERROR(VLOOKUP(H8,Instrucoes!$B$30:$C$36,2,FALSE()),0)</f>
        <v>0.25</v>
      </c>
      <c r="M8" s="7" t="n">
        <f aca="false">IFERROR(K8*L8,0)</f>
        <v>1500</v>
      </c>
      <c r="N8" s="5" t="s">
        <v>68</v>
      </c>
      <c r="O8" s="6" t="s">
        <v>69</v>
      </c>
      <c r="P8" s="4" t="s">
        <v>58</v>
      </c>
      <c r="Q8" s="5" t="s">
        <v>70</v>
      </c>
      <c r="R8" s="4"/>
    </row>
    <row r="9" customFormat="false" ht="23.85" hidden="false" customHeight="false" outlineLevel="0" collapsed="false">
      <c r="A9" s="4" t="s">
        <v>71</v>
      </c>
      <c r="B9" s="5" t="s">
        <v>72</v>
      </c>
      <c r="C9" s="4" t="s">
        <v>73</v>
      </c>
      <c r="D9" s="4" t="s">
        <v>74</v>
      </c>
      <c r="E9" s="4" t="s">
        <v>75</v>
      </c>
      <c r="F9" s="4" t="s">
        <v>25</v>
      </c>
      <c r="G9" s="4" t="s">
        <v>26</v>
      </c>
      <c r="H9" s="4" t="s">
        <v>76</v>
      </c>
      <c r="I9" s="6" t="s">
        <v>77</v>
      </c>
      <c r="J9" s="6"/>
      <c r="K9" s="7" t="n">
        <v>5000</v>
      </c>
      <c r="L9" s="8" t="n">
        <f aca="false">IFERROR(VLOOKUP(H9,Instrucoes!$B$30:$C$36,2,FALSE()),0)</f>
        <v>0.1</v>
      </c>
      <c r="M9" s="7" t="n">
        <f aca="false">IFERROR(K9*L9,0)</f>
        <v>500</v>
      </c>
      <c r="N9" s="5" t="s">
        <v>78</v>
      </c>
      <c r="O9" s="6" t="s">
        <v>79</v>
      </c>
      <c r="P9" s="4" t="s">
        <v>32</v>
      </c>
      <c r="Q9" s="5"/>
      <c r="R9" s="4"/>
    </row>
    <row r="10" customFormat="false" ht="23.85" hidden="false" customHeight="false" outlineLevel="0" collapsed="false">
      <c r="A10" s="4" t="s">
        <v>80</v>
      </c>
      <c r="B10" s="5" t="s">
        <v>81</v>
      </c>
      <c r="C10" s="4" t="s">
        <v>82</v>
      </c>
      <c r="D10" s="4" t="s">
        <v>50</v>
      </c>
      <c r="E10" s="4" t="s">
        <v>83</v>
      </c>
      <c r="F10" s="4" t="s">
        <v>84</v>
      </c>
      <c r="G10" s="4" t="s">
        <v>40</v>
      </c>
      <c r="H10" s="4" t="s">
        <v>85</v>
      </c>
      <c r="I10" s="6" t="s">
        <v>86</v>
      </c>
      <c r="J10" s="6" t="s">
        <v>87</v>
      </c>
      <c r="K10" s="7" t="n">
        <v>4500</v>
      </c>
      <c r="L10" s="8" t="n">
        <f aca="false">IFERROR(VLOOKUP(H10,Instrucoes!$B$30:$C$36,2,FALSE()),0)</f>
        <v>1</v>
      </c>
      <c r="M10" s="7" t="n">
        <f aca="false">IFERROR(K10*L10,0)</f>
        <v>4500</v>
      </c>
      <c r="N10" s="5" t="s">
        <v>88</v>
      </c>
      <c r="O10" s="6" t="s">
        <v>89</v>
      </c>
      <c r="P10" s="4" t="s">
        <v>32</v>
      </c>
      <c r="Q10" s="5" t="s">
        <v>90</v>
      </c>
      <c r="R10" s="4"/>
    </row>
    <row r="11" customFormat="false" ht="15" hidden="false" customHeight="false" outlineLevel="0" collapsed="false">
      <c r="A11" s="4" t="s">
        <v>91</v>
      </c>
      <c r="B11" s="5" t="s">
        <v>92</v>
      </c>
      <c r="C11" s="4" t="s">
        <v>93</v>
      </c>
      <c r="D11" s="4" t="s">
        <v>94</v>
      </c>
      <c r="E11" s="4" t="s">
        <v>95</v>
      </c>
      <c r="F11" s="4" t="s">
        <v>39</v>
      </c>
      <c r="G11" s="4" t="s">
        <v>52</v>
      </c>
      <c r="H11" s="4" t="s">
        <v>96</v>
      </c>
      <c r="I11" s="6" t="s">
        <v>97</v>
      </c>
      <c r="J11" s="6" t="s">
        <v>98</v>
      </c>
      <c r="K11" s="7" t="n">
        <v>18000</v>
      </c>
      <c r="L11" s="8" t="n">
        <f aca="false">IFERROR(VLOOKUP(H11,Instrucoes!$B$30:$C$36,2,FALSE()),0)</f>
        <v>0</v>
      </c>
      <c r="M11" s="7" t="n">
        <f aca="false">IFERROR(K11*L11,0)</f>
        <v>0</v>
      </c>
      <c r="N11" s="5" t="s">
        <v>99</v>
      </c>
      <c r="O11" s="6" t="s">
        <v>100</v>
      </c>
      <c r="P11" s="4" t="s">
        <v>58</v>
      </c>
      <c r="Q11" s="5"/>
      <c r="R11" s="4" t="s">
        <v>101</v>
      </c>
    </row>
    <row r="12" customFormat="false" ht="15" hidden="false" customHeight="false" outlineLevel="0" collapsed="false">
      <c r="A12" s="4" t="s">
        <v>102</v>
      </c>
      <c r="B12" s="5" t="s">
        <v>103</v>
      </c>
      <c r="C12" s="4" t="s">
        <v>104</v>
      </c>
      <c r="D12" s="4" t="s">
        <v>105</v>
      </c>
      <c r="E12" s="4" t="s">
        <v>106</v>
      </c>
      <c r="F12" s="4" t="s">
        <v>84</v>
      </c>
      <c r="G12" s="4" t="s">
        <v>64</v>
      </c>
      <c r="H12" s="4" t="s">
        <v>53</v>
      </c>
      <c r="I12" s="6" t="s">
        <v>107</v>
      </c>
      <c r="J12" s="6" t="s">
        <v>77</v>
      </c>
      <c r="K12" s="7" t="n">
        <v>3500</v>
      </c>
      <c r="L12" s="8" t="n">
        <f aca="false">IFERROR(VLOOKUP(H12,Instrucoes!$B$30:$C$36,2,FALSE()),0)</f>
        <v>0.5</v>
      </c>
      <c r="M12" s="7" t="n">
        <f aca="false">IFERROR(K12*L12,0)</f>
        <v>1750</v>
      </c>
      <c r="N12" s="5" t="s">
        <v>108</v>
      </c>
      <c r="O12" s="6" t="s">
        <v>31</v>
      </c>
      <c r="P12" s="4" t="s">
        <v>58</v>
      </c>
      <c r="Q12" s="5"/>
      <c r="R12" s="4"/>
    </row>
    <row r="13" customFormat="false" ht="15" hidden="false" customHeight="false" outlineLevel="0" collapsed="false">
      <c r="A13" s="4"/>
      <c r="B13" s="5"/>
      <c r="C13" s="4"/>
      <c r="D13" s="4"/>
      <c r="E13" s="4"/>
      <c r="F13" s="4"/>
      <c r="G13" s="4"/>
      <c r="H13" s="4"/>
      <c r="I13" s="6"/>
      <c r="J13" s="6"/>
      <c r="K13" s="7"/>
      <c r="L13" s="8" t="str">
        <f aca="false">IFERROR(VLOOKUP(H13,Instrucoes!$B$30:$C$36,2,FALSE()),"")</f>
        <v/>
      </c>
      <c r="M13" s="7" t="str">
        <f aca="false">IFERROR(K13*L13,"")</f>
        <v/>
      </c>
      <c r="N13" s="5"/>
      <c r="O13" s="6"/>
      <c r="P13" s="4"/>
      <c r="Q13" s="5"/>
      <c r="R13" s="4"/>
    </row>
    <row r="14" customFormat="false" ht="15" hidden="false" customHeight="false" outlineLevel="0" collapsed="false">
      <c r="A14" s="4"/>
      <c r="B14" s="5"/>
      <c r="C14" s="4"/>
      <c r="D14" s="4"/>
      <c r="E14" s="4"/>
      <c r="F14" s="4"/>
      <c r="G14" s="4"/>
      <c r="H14" s="4"/>
      <c r="I14" s="6"/>
      <c r="J14" s="6"/>
      <c r="K14" s="7"/>
      <c r="L14" s="8" t="str">
        <f aca="false">IFERROR(VLOOKUP(H14,Instrucoes!$B$30:$C$36,2,FALSE()),"")</f>
        <v/>
      </c>
      <c r="M14" s="7" t="str">
        <f aca="false">IFERROR(K14*L14,"")</f>
        <v/>
      </c>
      <c r="N14" s="5"/>
      <c r="O14" s="6"/>
      <c r="P14" s="4"/>
      <c r="Q14" s="5"/>
      <c r="R14" s="4"/>
    </row>
    <row r="15" customFormat="false" ht="15" hidden="false" customHeight="false" outlineLevel="0" collapsed="false">
      <c r="A15" s="4"/>
      <c r="B15" s="5"/>
      <c r="C15" s="4"/>
      <c r="D15" s="4"/>
      <c r="E15" s="4"/>
      <c r="F15" s="4"/>
      <c r="G15" s="4"/>
      <c r="H15" s="4"/>
      <c r="I15" s="6"/>
      <c r="J15" s="6"/>
      <c r="K15" s="7"/>
      <c r="L15" s="8" t="str">
        <f aca="false">IFERROR(VLOOKUP(H15,Instrucoes!$B$30:$C$36,2,FALSE()),"")</f>
        <v/>
      </c>
      <c r="M15" s="7" t="str">
        <f aca="false">IFERROR(K15*L15,"")</f>
        <v/>
      </c>
      <c r="N15" s="5"/>
      <c r="O15" s="6"/>
      <c r="P15" s="4"/>
      <c r="Q15" s="5"/>
      <c r="R15" s="4"/>
    </row>
    <row r="16" customFormat="false" ht="15" hidden="false" customHeight="false" outlineLevel="0" collapsed="false">
      <c r="A16" s="4"/>
      <c r="B16" s="5"/>
      <c r="C16" s="4"/>
      <c r="D16" s="4"/>
      <c r="E16" s="4"/>
      <c r="F16" s="4"/>
      <c r="G16" s="4"/>
      <c r="H16" s="4"/>
      <c r="I16" s="6"/>
      <c r="J16" s="6"/>
      <c r="K16" s="7"/>
      <c r="L16" s="8" t="str">
        <f aca="false">IFERROR(VLOOKUP(H16,Instrucoes!$B$30:$C$36,2,FALSE()),"")</f>
        <v/>
      </c>
      <c r="M16" s="7" t="str">
        <f aca="false">IFERROR(K16*L16,"")</f>
        <v/>
      </c>
      <c r="N16" s="5"/>
      <c r="O16" s="6"/>
      <c r="P16" s="4"/>
      <c r="Q16" s="5"/>
      <c r="R16" s="4"/>
    </row>
    <row r="17" customFormat="false" ht="15" hidden="false" customHeight="false" outlineLevel="0" collapsed="false">
      <c r="A17" s="4"/>
      <c r="B17" s="5"/>
      <c r="C17" s="4"/>
      <c r="D17" s="4"/>
      <c r="E17" s="4"/>
      <c r="F17" s="4"/>
      <c r="G17" s="4"/>
      <c r="H17" s="4"/>
      <c r="I17" s="6"/>
      <c r="J17" s="6"/>
      <c r="K17" s="7"/>
      <c r="L17" s="8" t="str">
        <f aca="false">IFERROR(VLOOKUP(H17,Instrucoes!$B$30:$C$36,2,FALSE()),"")</f>
        <v/>
      </c>
      <c r="M17" s="7" t="str">
        <f aca="false">IFERROR(K17*L17,"")</f>
        <v/>
      </c>
      <c r="N17" s="5"/>
      <c r="O17" s="6"/>
      <c r="P17" s="4"/>
      <c r="Q17" s="5"/>
      <c r="R17" s="4"/>
    </row>
    <row r="18" customFormat="false" ht="15" hidden="false" customHeight="false" outlineLevel="0" collapsed="false">
      <c r="A18" s="4"/>
      <c r="B18" s="5"/>
      <c r="C18" s="4"/>
      <c r="D18" s="4"/>
      <c r="E18" s="4"/>
      <c r="F18" s="4"/>
      <c r="G18" s="4"/>
      <c r="H18" s="4"/>
      <c r="I18" s="6"/>
      <c r="J18" s="6"/>
      <c r="K18" s="7"/>
      <c r="L18" s="8" t="str">
        <f aca="false">IFERROR(VLOOKUP(H18,Instrucoes!$B$30:$C$36,2,FALSE()),"")</f>
        <v/>
      </c>
      <c r="M18" s="7" t="str">
        <f aca="false">IFERROR(K18*L18,"")</f>
        <v/>
      </c>
      <c r="N18" s="5"/>
      <c r="O18" s="6"/>
      <c r="P18" s="4"/>
      <c r="Q18" s="5"/>
      <c r="R18" s="4"/>
    </row>
    <row r="19" customFormat="false" ht="15" hidden="false" customHeight="false" outlineLevel="0" collapsed="false">
      <c r="A19" s="4"/>
      <c r="B19" s="5"/>
      <c r="C19" s="4"/>
      <c r="D19" s="4"/>
      <c r="E19" s="4"/>
      <c r="F19" s="4"/>
      <c r="G19" s="4"/>
      <c r="H19" s="4"/>
      <c r="I19" s="6"/>
      <c r="J19" s="6"/>
      <c r="K19" s="7"/>
      <c r="L19" s="8" t="str">
        <f aca="false">IFERROR(VLOOKUP(H19,Instrucoes!$B$30:$C$36,2,FALSE()),"")</f>
        <v/>
      </c>
      <c r="M19" s="7" t="str">
        <f aca="false">IFERROR(K19*L19,"")</f>
        <v/>
      </c>
      <c r="N19" s="5"/>
      <c r="O19" s="6"/>
      <c r="P19" s="4"/>
      <c r="Q19" s="5"/>
      <c r="R19" s="4"/>
    </row>
    <row r="20" customFormat="false" ht="15" hidden="false" customHeight="false" outlineLevel="0" collapsed="false">
      <c r="A20" s="4"/>
      <c r="B20" s="5"/>
      <c r="C20" s="4"/>
      <c r="D20" s="4"/>
      <c r="E20" s="4"/>
      <c r="F20" s="4"/>
      <c r="G20" s="4"/>
      <c r="H20" s="4"/>
      <c r="I20" s="6"/>
      <c r="J20" s="6"/>
      <c r="K20" s="7"/>
      <c r="L20" s="8" t="str">
        <f aca="false">IFERROR(VLOOKUP(H20,Instrucoes!$B$30:$C$36,2,FALSE()),"")</f>
        <v/>
      </c>
      <c r="M20" s="7" t="str">
        <f aca="false">IFERROR(K20*L20,"")</f>
        <v/>
      </c>
      <c r="N20" s="5"/>
      <c r="O20" s="6"/>
      <c r="P20" s="4"/>
      <c r="Q20" s="5"/>
      <c r="R20" s="4"/>
    </row>
    <row r="21" customFormat="false" ht="15" hidden="false" customHeight="false" outlineLevel="0" collapsed="false">
      <c r="A21" s="4"/>
      <c r="B21" s="5"/>
      <c r="C21" s="4"/>
      <c r="D21" s="4"/>
      <c r="E21" s="4"/>
      <c r="F21" s="4"/>
      <c r="G21" s="4"/>
      <c r="H21" s="4"/>
      <c r="I21" s="6"/>
      <c r="J21" s="6"/>
      <c r="K21" s="7"/>
      <c r="L21" s="8" t="str">
        <f aca="false">IFERROR(VLOOKUP(H21,Instrucoes!$B$30:$C$36,2,FALSE()),"")</f>
        <v/>
      </c>
      <c r="M21" s="7" t="str">
        <f aca="false">IFERROR(K21*L21,"")</f>
        <v/>
      </c>
      <c r="N21" s="5"/>
      <c r="O21" s="6"/>
      <c r="P21" s="4"/>
      <c r="Q21" s="5"/>
      <c r="R21" s="4"/>
    </row>
    <row r="22" customFormat="false" ht="15" hidden="false" customHeight="false" outlineLevel="0" collapsed="false">
      <c r="A22" s="4"/>
      <c r="B22" s="5"/>
      <c r="C22" s="4"/>
      <c r="D22" s="4"/>
      <c r="E22" s="4"/>
      <c r="F22" s="4"/>
      <c r="G22" s="4"/>
      <c r="H22" s="4"/>
      <c r="I22" s="6"/>
      <c r="J22" s="6"/>
      <c r="K22" s="7"/>
      <c r="L22" s="8" t="str">
        <f aca="false">IFERROR(VLOOKUP(H22,Instrucoes!$B$30:$C$36,2,FALSE()),"")</f>
        <v/>
      </c>
      <c r="M22" s="7" t="str">
        <f aca="false">IFERROR(K22*L22,"")</f>
        <v/>
      </c>
      <c r="N22" s="5"/>
      <c r="O22" s="6"/>
      <c r="P22" s="4"/>
      <c r="Q22" s="5"/>
      <c r="R22" s="4"/>
    </row>
    <row r="23" customFormat="false" ht="15" hidden="false" customHeight="false" outlineLevel="0" collapsed="false">
      <c r="A23" s="4"/>
      <c r="B23" s="5"/>
      <c r="C23" s="4"/>
      <c r="D23" s="4"/>
      <c r="E23" s="4"/>
      <c r="F23" s="4"/>
      <c r="G23" s="4"/>
      <c r="H23" s="4"/>
      <c r="I23" s="6"/>
      <c r="J23" s="6"/>
      <c r="K23" s="7"/>
      <c r="L23" s="8" t="str">
        <f aca="false">IFERROR(VLOOKUP(H23,Instrucoes!$B$30:$C$36,2,FALSE()),"")</f>
        <v/>
      </c>
      <c r="M23" s="7" t="str">
        <f aca="false">IFERROR(K23*L23,"")</f>
        <v/>
      </c>
      <c r="N23" s="5"/>
      <c r="O23" s="6"/>
      <c r="P23" s="4"/>
      <c r="Q23" s="5"/>
      <c r="R23" s="4"/>
    </row>
    <row r="24" customFormat="false" ht="15" hidden="false" customHeight="false" outlineLevel="0" collapsed="false">
      <c r="A24" s="4"/>
      <c r="B24" s="5"/>
      <c r="C24" s="4"/>
      <c r="D24" s="4"/>
      <c r="E24" s="4"/>
      <c r="F24" s="4"/>
      <c r="G24" s="4"/>
      <c r="H24" s="4"/>
      <c r="I24" s="6"/>
      <c r="J24" s="6"/>
      <c r="K24" s="7"/>
      <c r="L24" s="8" t="str">
        <f aca="false">IFERROR(VLOOKUP(H24,Instrucoes!$B$30:$C$36,2,FALSE()),"")</f>
        <v/>
      </c>
      <c r="M24" s="7" t="str">
        <f aca="false">IFERROR(K24*L24,"")</f>
        <v/>
      </c>
      <c r="N24" s="5"/>
      <c r="O24" s="6"/>
      <c r="P24" s="4"/>
      <c r="Q24" s="5"/>
      <c r="R24" s="4"/>
    </row>
    <row r="25" customFormat="false" ht="15" hidden="false" customHeight="false" outlineLevel="0" collapsed="false">
      <c r="A25" s="4"/>
      <c r="B25" s="5"/>
      <c r="C25" s="4"/>
      <c r="D25" s="4"/>
      <c r="E25" s="4"/>
      <c r="F25" s="4"/>
      <c r="G25" s="4"/>
      <c r="H25" s="4"/>
      <c r="I25" s="6"/>
      <c r="J25" s="6"/>
      <c r="K25" s="7"/>
      <c r="L25" s="8" t="str">
        <f aca="false">IFERROR(VLOOKUP(H25,Instrucoes!$B$30:$C$36,2,FALSE()),"")</f>
        <v/>
      </c>
      <c r="M25" s="7" t="str">
        <f aca="false">IFERROR(K25*L25,"")</f>
        <v/>
      </c>
      <c r="N25" s="5"/>
      <c r="O25" s="6"/>
      <c r="P25" s="4"/>
      <c r="Q25" s="5"/>
      <c r="R25" s="4"/>
    </row>
    <row r="26" customFormat="false" ht="15" hidden="false" customHeight="false" outlineLevel="0" collapsed="false">
      <c r="A26" s="4"/>
      <c r="B26" s="5"/>
      <c r="C26" s="4"/>
      <c r="D26" s="4"/>
      <c r="E26" s="4"/>
      <c r="F26" s="4"/>
      <c r="G26" s="4"/>
      <c r="H26" s="4"/>
      <c r="I26" s="6"/>
      <c r="J26" s="6"/>
      <c r="K26" s="7"/>
      <c r="L26" s="8" t="str">
        <f aca="false">IFERROR(VLOOKUP(H26,Instrucoes!$B$30:$C$36,2,FALSE()),"")</f>
        <v/>
      </c>
      <c r="M26" s="7" t="str">
        <f aca="false">IFERROR(K26*L26,"")</f>
        <v/>
      </c>
      <c r="N26" s="5"/>
      <c r="O26" s="6"/>
      <c r="P26" s="4"/>
      <c r="Q26" s="5"/>
      <c r="R26" s="4"/>
    </row>
    <row r="27" customFormat="false" ht="15" hidden="false" customHeight="false" outlineLevel="0" collapsed="false">
      <c r="A27" s="4"/>
      <c r="B27" s="5"/>
      <c r="C27" s="4"/>
      <c r="D27" s="4"/>
      <c r="E27" s="4"/>
      <c r="F27" s="4"/>
      <c r="G27" s="4"/>
      <c r="H27" s="4"/>
      <c r="I27" s="6"/>
      <c r="J27" s="6"/>
      <c r="K27" s="7"/>
      <c r="L27" s="8" t="str">
        <f aca="false">IFERROR(VLOOKUP(H27,Instrucoes!$B$30:$C$36,2,FALSE()),"")</f>
        <v/>
      </c>
      <c r="M27" s="7" t="str">
        <f aca="false">IFERROR(K27*L27,"")</f>
        <v/>
      </c>
      <c r="N27" s="5"/>
      <c r="O27" s="6"/>
      <c r="P27" s="4"/>
      <c r="Q27" s="5"/>
      <c r="R27" s="4"/>
    </row>
    <row r="28" customFormat="false" ht="15" hidden="false" customHeight="false" outlineLevel="0" collapsed="false">
      <c r="A28" s="4"/>
      <c r="B28" s="5"/>
      <c r="C28" s="4"/>
      <c r="D28" s="4"/>
      <c r="E28" s="4"/>
      <c r="F28" s="4"/>
      <c r="G28" s="4"/>
      <c r="H28" s="4"/>
      <c r="I28" s="6"/>
      <c r="J28" s="6"/>
      <c r="K28" s="7"/>
      <c r="L28" s="8" t="str">
        <f aca="false">IFERROR(VLOOKUP(H28,Instrucoes!$B$30:$C$36,2,FALSE()),"")</f>
        <v/>
      </c>
      <c r="M28" s="7" t="str">
        <f aca="false">IFERROR(K28*L28,"")</f>
        <v/>
      </c>
      <c r="N28" s="5"/>
      <c r="O28" s="6"/>
      <c r="P28" s="4"/>
      <c r="Q28" s="5"/>
      <c r="R28" s="4"/>
    </row>
    <row r="29" customFormat="false" ht="15" hidden="false" customHeight="false" outlineLevel="0" collapsed="false">
      <c r="A29" s="4"/>
      <c r="B29" s="5"/>
      <c r="C29" s="4"/>
      <c r="D29" s="4"/>
      <c r="E29" s="4"/>
      <c r="F29" s="4"/>
      <c r="G29" s="4"/>
      <c r="H29" s="4"/>
      <c r="I29" s="6"/>
      <c r="J29" s="6"/>
      <c r="K29" s="7"/>
      <c r="L29" s="8" t="str">
        <f aca="false">IFERROR(VLOOKUP(H29,Instrucoes!$B$30:$C$36,2,FALSE()),"")</f>
        <v/>
      </c>
      <c r="M29" s="7" t="str">
        <f aca="false">IFERROR(K29*L29,"")</f>
        <v/>
      </c>
      <c r="N29" s="5"/>
      <c r="O29" s="6"/>
      <c r="P29" s="4"/>
      <c r="Q29" s="5"/>
      <c r="R29" s="4"/>
    </row>
    <row r="30" customFormat="false" ht="15" hidden="false" customHeight="false" outlineLevel="0" collapsed="false">
      <c r="A30" s="4"/>
      <c r="B30" s="5"/>
      <c r="C30" s="4"/>
      <c r="D30" s="4"/>
      <c r="E30" s="4"/>
      <c r="F30" s="4"/>
      <c r="G30" s="4"/>
      <c r="H30" s="4"/>
      <c r="I30" s="6"/>
      <c r="J30" s="6"/>
      <c r="K30" s="7"/>
      <c r="L30" s="8" t="str">
        <f aca="false">IFERROR(VLOOKUP(H30,Instrucoes!$B$30:$C$36,2,FALSE()),"")</f>
        <v/>
      </c>
      <c r="M30" s="7" t="str">
        <f aca="false">IFERROR(K30*L30,"")</f>
        <v/>
      </c>
      <c r="N30" s="5"/>
      <c r="O30" s="6"/>
      <c r="P30" s="4"/>
      <c r="Q30" s="5"/>
      <c r="R30" s="4"/>
    </row>
  </sheetData>
  <mergeCells count="2">
    <mergeCell ref="A1:R1"/>
    <mergeCell ref="A2:R2"/>
  </mergeCells>
  <conditionalFormatting sqref="O5:O30">
    <cfRule type="expression" priority="2" aboveAverage="0" equalAverage="0" bottom="0" percent="0" rank="0" text="" dxfId="0">
      <formula>AND(O5&lt;&gt;"",O5&lt;TODAY(),H5&lt;&gt;"Fechado",H5&lt;&gt;"Perdido")</formula>
    </cfRule>
  </conditionalFormatting>
  <conditionalFormatting sqref="H5:H30">
    <cfRule type="expression" priority="3" aboveAverage="0" equalAverage="0" bottom="0" percent="0" rank="0" text="" dxfId="1">
      <formula>H5="Fechado"</formula>
    </cfRule>
    <cfRule type="expression" priority="4" aboveAverage="0" equalAverage="0" bottom="0" percent="0" rank="0" text="" dxfId="2">
      <formula>H5="Perdido"</formula>
    </cfRule>
  </conditionalFormatting>
  <dataValidations count="4">
    <dataValidation allowBlank="true" error="Use uma das etapas: Lead, Contato, Qualificado, Proposta, Negociação, Fechado ou Perdido." errorStyle="stop" errorTitle="Etapa inválida" operator="between" showDropDown="false" showErrorMessage="false" showInputMessage="false" sqref="H5:H30" type="list">
      <formula1>"Lead,Contato,Qualificado,Proposta,Negociação,Fechado,Perdido"</formula1>
      <formula2>0</formula2>
    </dataValidation>
    <dataValidation allowBlank="true" errorStyle="stop" operator="between" showDropDown="false" showErrorMessage="false" showInputMessage="false" sqref="F5:F30" type="list">
      <formula1>"Micro,Pequena,Média,Grande"</formula1>
      <formula2>0</formula2>
    </dataValidation>
    <dataValidation allowBlank="true" errorStyle="stop" operator="between" showDropDown="false" showErrorMessage="false" showInputMessage="false" sqref="G5:G30" type="list">
      <formula1>"Indicação,Evento,Cold call,Inbound,Autodiagnóstico,Outro"</formula1>
      <formula2>0</formula2>
    </dataValidation>
    <dataValidation allowBlank="true" errorStyle="stop" operator="between" showDropDown="false" showErrorMessage="false" showInputMessage="false" sqref="R5:R30" type="list">
      <formula1>"Sem orçamento neste ciclo,Sem fit com o serviço,Concorrente escolhido,Não respondeu mais,Decisor mudou,Outro"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5" min="1" style="0" width="16"/>
    <col collapsed="false" customWidth="true" hidden="false" outlineLevel="0" max="6" min="6" style="0" width="22"/>
    <col collapsed="false" customWidth="true" hidden="false" outlineLevel="0" max="7" min="7" style="0" width="12"/>
    <col collapsed="false" customWidth="true" hidden="false" outlineLevel="0" max="8" min="8" style="0" width="32"/>
  </cols>
  <sheetData>
    <row r="1" customFormat="false" ht="22.05" hidden="false" customHeight="false" outlineLevel="0" collapsed="false">
      <c r="A1" s="1" t="s">
        <v>109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110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9" t="s">
        <v>111</v>
      </c>
      <c r="B4" s="9"/>
      <c r="C4" s="9" t="s">
        <v>112</v>
      </c>
      <c r="D4" s="9"/>
      <c r="E4" s="9" t="s">
        <v>113</v>
      </c>
      <c r="F4" s="9"/>
      <c r="G4" s="9" t="s">
        <v>114</v>
      </c>
      <c r="H4" s="9"/>
    </row>
    <row r="5" customFormat="false" ht="37.5" hidden="false" customHeight="true" outlineLevel="0" collapsed="false">
      <c r="A5" s="10" t="n">
        <f aca="false">COUNTIFS(Funil!H5:H30,"&lt;&gt;Fechado",Funil!H5:H30,"&lt;&gt;Perdido",Funil!H5:H30,"&lt;&gt;")</f>
        <v>6</v>
      </c>
      <c r="B5" s="10"/>
      <c r="C5" s="11" t="n">
        <f aca="false">SUMIFS(Funil!K5:K30,Funil!H5:H30,"&lt;&gt;Fechado",Funil!H5:H30,"&lt;&gt;Perdido",Funil!H5:H30,"&lt;&gt;")</f>
        <v>59500</v>
      </c>
      <c r="D5" s="11"/>
      <c r="E5" s="11" t="n">
        <f aca="false">SUMIFS(Funil!M5:M30,Funil!H5:H30,"&lt;&gt;Fechado",Funil!H5:H30,"&lt;&gt;Perdido",Funil!H5:H30,"&lt;&gt;")</f>
        <v>35450</v>
      </c>
      <c r="F5" s="11"/>
      <c r="G5" s="10" t="n">
        <f aca="false">COUNTIF(Funil!H5:H30,"Fechado")</f>
        <v>1</v>
      </c>
      <c r="H5" s="10"/>
    </row>
    <row r="8" customFormat="false" ht="15" hidden="false" customHeight="false" outlineLevel="0" collapsed="false">
      <c r="A8" s="12" t="s">
        <v>115</v>
      </c>
      <c r="B8" s="12"/>
      <c r="C8" s="12"/>
      <c r="D8" s="12"/>
      <c r="F8" s="12" t="s">
        <v>116</v>
      </c>
      <c r="G8" s="12"/>
      <c r="H8" s="12"/>
    </row>
    <row r="9" customFormat="false" ht="23.85" hidden="false" customHeight="false" outlineLevel="0" collapsed="false">
      <c r="A9" s="3" t="s">
        <v>117</v>
      </c>
      <c r="B9" s="3" t="s">
        <v>118</v>
      </c>
      <c r="C9" s="3" t="s">
        <v>12</v>
      </c>
      <c r="D9" s="3" t="s">
        <v>14</v>
      </c>
      <c r="F9" s="3" t="s">
        <v>119</v>
      </c>
      <c r="G9" s="3" t="s">
        <v>120</v>
      </c>
      <c r="H9" s="3" t="s">
        <v>121</v>
      </c>
    </row>
    <row r="10" customFormat="false" ht="23.85" hidden="false" customHeight="false" outlineLevel="0" collapsed="false">
      <c r="A10" s="4" t="s">
        <v>76</v>
      </c>
      <c r="B10" s="13" t="n">
        <f aca="false">COUNTIF(Funil!H5:H30,"Lead")</f>
        <v>1</v>
      </c>
      <c r="C10" s="14" t="n">
        <f aca="false">SUMIF(Funil!H5:H30,"Lead",Funil!K5:K30)</f>
        <v>5000</v>
      </c>
      <c r="D10" s="14" t="n">
        <f aca="false">SUMIF(Funil!H5:H30,"Lead",Funil!M5:M30)</f>
        <v>500</v>
      </c>
      <c r="F10" s="5" t="s">
        <v>122</v>
      </c>
      <c r="G10" s="15" t="n">
        <f aca="false">IFERROR((B11+B12+B13+B14+B15)/(B10+B11+B12+B13+B14+B15),0)</f>
        <v>0.857142857142857</v>
      </c>
      <c r="H10" s="5" t="s">
        <v>123</v>
      </c>
    </row>
    <row r="11" customFormat="false" ht="23.85" hidden="false" customHeight="false" outlineLevel="0" collapsed="false">
      <c r="A11" s="4" t="s">
        <v>65</v>
      </c>
      <c r="B11" s="13" t="n">
        <f aca="false">COUNTIF(Funil!H5:H30,"Contato")</f>
        <v>1</v>
      </c>
      <c r="C11" s="14" t="n">
        <f aca="false">SUMIF(Funil!H5:H30,"Contato",Funil!K5:K30)</f>
        <v>6000</v>
      </c>
      <c r="D11" s="14" t="n">
        <f aca="false">SUMIF(Funil!H5:H30,"Contato",Funil!M5:M30)</f>
        <v>1500</v>
      </c>
      <c r="F11" s="5" t="s">
        <v>124</v>
      </c>
      <c r="G11" s="15" t="n">
        <f aca="false">IFERROR((B12+B13+B14+B15)/(B11+B12+B13+B14+B15),0)</f>
        <v>0.833333333333333</v>
      </c>
      <c r="H11" s="5" t="s">
        <v>125</v>
      </c>
    </row>
    <row r="12" customFormat="false" ht="23.85" hidden="false" customHeight="false" outlineLevel="0" collapsed="false">
      <c r="A12" s="4" t="s">
        <v>53</v>
      </c>
      <c r="B12" s="13" t="n">
        <f aca="false">COUNTIF(Funil!H5:H30,"Qualificado")</f>
        <v>2</v>
      </c>
      <c r="C12" s="14" t="n">
        <f aca="false">SUMIF(Funil!H5:H30,"Qualificado",Funil!K5:K30)</f>
        <v>11500</v>
      </c>
      <c r="D12" s="14" t="n">
        <f aca="false">SUMIF(Funil!H5:H30,"Qualificado",Funil!M5:M30)</f>
        <v>5750</v>
      </c>
      <c r="F12" s="5" t="s">
        <v>126</v>
      </c>
      <c r="G12" s="15" t="n">
        <f aca="false">IFERROR((B13+B14+B15)/(B12+B13+B14+B15),0)</f>
        <v>0.6</v>
      </c>
      <c r="H12" s="5" t="s">
        <v>127</v>
      </c>
    </row>
    <row r="13" customFormat="false" ht="23.85" hidden="false" customHeight="false" outlineLevel="0" collapsed="false">
      <c r="A13" s="4" t="s">
        <v>41</v>
      </c>
      <c r="B13" s="13" t="n">
        <f aca="false">COUNTIF(Funil!H5:H30,"Proposta")</f>
        <v>1</v>
      </c>
      <c r="C13" s="14" t="n">
        <f aca="false">SUMIF(Funil!H5:H30,"Proposta",Funil!K5:K30)</f>
        <v>25000</v>
      </c>
      <c r="D13" s="14" t="n">
        <f aca="false">SUMIF(Funil!H5:H30,"Proposta",Funil!M5:M30)</f>
        <v>17500</v>
      </c>
      <c r="F13" s="5" t="s">
        <v>128</v>
      </c>
      <c r="G13" s="15" t="n">
        <f aca="false">IFERROR((B14+B15)/(B13+B14+B15),0)</f>
        <v>0.666666666666667</v>
      </c>
      <c r="H13" s="5" t="s">
        <v>129</v>
      </c>
    </row>
    <row r="14" customFormat="false" ht="23.85" hidden="false" customHeight="false" outlineLevel="0" collapsed="false">
      <c r="A14" s="4" t="s">
        <v>27</v>
      </c>
      <c r="B14" s="13" t="n">
        <f aca="false">COUNTIF(Funil!H5:H30,"Negociação")</f>
        <v>1</v>
      </c>
      <c r="C14" s="14" t="n">
        <f aca="false">SUMIF(Funil!H5:H30,"Negociação",Funil!K5:K30)</f>
        <v>12000</v>
      </c>
      <c r="D14" s="14" t="n">
        <f aca="false">SUMIF(Funil!H5:H30,"Negociação",Funil!M5:M30)</f>
        <v>10200</v>
      </c>
      <c r="F14" s="5" t="s">
        <v>130</v>
      </c>
      <c r="G14" s="15" t="n">
        <f aca="false">IFERROR(B15/(B14+B15),0)</f>
        <v>0.5</v>
      </c>
      <c r="H14" s="5" t="s">
        <v>131</v>
      </c>
    </row>
    <row r="15" customFormat="false" ht="23.85" hidden="false" customHeight="false" outlineLevel="0" collapsed="false">
      <c r="A15" s="4" t="s">
        <v>85</v>
      </c>
      <c r="B15" s="13" t="n">
        <f aca="false">COUNTIF(Funil!H5:H30,"Fechado")</f>
        <v>1</v>
      </c>
      <c r="C15" s="14" t="n">
        <f aca="false">SUMIF(Funil!H5:H30,"Fechado",Funil!K5:K30)</f>
        <v>4500</v>
      </c>
      <c r="D15" s="14" t="n">
        <f aca="false">SUMIF(Funil!H5:H30,"Fechado",Funil!M5:M30)</f>
        <v>4500</v>
      </c>
      <c r="F15" s="5" t="s">
        <v>132</v>
      </c>
      <c r="G15" s="15" t="n">
        <f aca="false">IFERROR(B15/(B10+B11+B12+B13+B14+B15),0)</f>
        <v>0.142857142857143</v>
      </c>
      <c r="H15" s="5" t="s">
        <v>133</v>
      </c>
    </row>
    <row r="16" customFormat="false" ht="15" hidden="false" customHeight="false" outlineLevel="0" collapsed="false">
      <c r="A16" s="4" t="s">
        <v>96</v>
      </c>
      <c r="B16" s="13" t="n">
        <f aca="false">COUNTIF(Funil!H5:H30,"Perdido")</f>
        <v>1</v>
      </c>
      <c r="C16" s="14" t="n">
        <f aca="false">SUMIF(Funil!H5:H30,"Perdido",Funil!K5:K30)</f>
        <v>18000</v>
      </c>
      <c r="D16" s="14" t="n">
        <f aca="false">SUMIF(Funil!H5:H30,"Perdido",Funil!M5:M30)</f>
        <v>0</v>
      </c>
    </row>
    <row r="17" customFormat="false" ht="15" hidden="false" customHeight="false" outlineLevel="0" collapsed="false">
      <c r="A17" s="16" t="s">
        <v>134</v>
      </c>
      <c r="B17" s="17" t="n">
        <f aca="false">SUM(B10:B16)</f>
        <v>8</v>
      </c>
      <c r="C17" s="18" t="n">
        <f aca="false">SUM(C10:C16)</f>
        <v>82000</v>
      </c>
      <c r="D17" s="18" t="n">
        <f aca="false">SUM(D10:D16)</f>
        <v>39950</v>
      </c>
    </row>
    <row r="19" customFormat="false" ht="15" hidden="false" customHeight="false" outlineLevel="0" collapsed="false">
      <c r="A19" s="12" t="s">
        <v>135</v>
      </c>
      <c r="B19" s="12"/>
      <c r="C19" s="12"/>
      <c r="D19" s="12"/>
    </row>
    <row r="20" customFormat="false" ht="15" hidden="false" customHeight="false" outlineLevel="0" collapsed="false">
      <c r="A20" s="3" t="s">
        <v>136</v>
      </c>
      <c r="B20" s="3" t="s">
        <v>118</v>
      </c>
    </row>
    <row r="21" customFormat="false" ht="15" hidden="false" customHeight="true" outlineLevel="0" collapsed="false">
      <c r="A21" s="5" t="s">
        <v>101</v>
      </c>
      <c r="B21" s="5"/>
      <c r="C21" s="5"/>
      <c r="D21" s="13" t="n">
        <f aca="false">COUNTIF(Funil!R5:R30,"Sem orçamento neste ciclo")</f>
        <v>1</v>
      </c>
    </row>
    <row r="22" customFormat="false" ht="15" hidden="false" customHeight="true" outlineLevel="0" collapsed="false">
      <c r="A22" s="5" t="s">
        <v>137</v>
      </c>
      <c r="B22" s="5"/>
      <c r="C22" s="5"/>
      <c r="D22" s="13" t="n">
        <f aca="false">COUNTIF(Funil!R5:R30,"Sem fit com o serviço")</f>
        <v>0</v>
      </c>
    </row>
    <row r="23" customFormat="false" ht="15" hidden="false" customHeight="true" outlineLevel="0" collapsed="false">
      <c r="A23" s="5" t="s">
        <v>138</v>
      </c>
      <c r="B23" s="5"/>
      <c r="C23" s="5"/>
      <c r="D23" s="13" t="n">
        <f aca="false">COUNTIF(Funil!R5:R30,"Concorrente escolhido")</f>
        <v>0</v>
      </c>
    </row>
    <row r="24" customFormat="false" ht="15" hidden="false" customHeight="true" outlineLevel="0" collapsed="false">
      <c r="A24" s="5" t="s">
        <v>139</v>
      </c>
      <c r="B24" s="5"/>
      <c r="C24" s="5"/>
      <c r="D24" s="13" t="n">
        <f aca="false">COUNTIF(Funil!R5:R30,"Não respondeu mais")</f>
        <v>0</v>
      </c>
    </row>
    <row r="25" customFormat="false" ht="15" hidden="false" customHeight="true" outlineLevel="0" collapsed="false">
      <c r="A25" s="5" t="s">
        <v>140</v>
      </c>
      <c r="B25" s="5"/>
      <c r="C25" s="5"/>
      <c r="D25" s="13" t="n">
        <f aca="false">COUNTIF(Funil!R5:R30,"Decisor mudou")</f>
        <v>0</v>
      </c>
    </row>
    <row r="26" customFormat="false" ht="15" hidden="false" customHeight="true" outlineLevel="0" collapsed="false">
      <c r="A26" s="5" t="s">
        <v>141</v>
      </c>
      <c r="B26" s="5"/>
      <c r="C26" s="5"/>
      <c r="D26" s="13" t="n">
        <f aca="false">COUNTIF(Funil!R5:R30,"Outro")</f>
        <v>0</v>
      </c>
    </row>
  </sheetData>
  <mergeCells count="19">
    <mergeCell ref="A1:H1"/>
    <mergeCell ref="A2:H2"/>
    <mergeCell ref="A4:B4"/>
    <mergeCell ref="C4:D4"/>
    <mergeCell ref="E4:F4"/>
    <mergeCell ref="G4:H4"/>
    <mergeCell ref="A5:B5"/>
    <mergeCell ref="C5:D5"/>
    <mergeCell ref="E5:F5"/>
    <mergeCell ref="G5:H5"/>
    <mergeCell ref="A8:D8"/>
    <mergeCell ref="F8:H8"/>
    <mergeCell ref="A19:D19"/>
    <mergeCell ref="A21:C21"/>
    <mergeCell ref="A22:C22"/>
    <mergeCell ref="A23:C23"/>
    <mergeCell ref="A24:C24"/>
    <mergeCell ref="A25:C25"/>
    <mergeCell ref="A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24"/>
    <col collapsed="false" customWidth="true" hidden="false" outlineLevel="0" max="3" min="3" style="0" width="18"/>
    <col collapsed="false" customWidth="true" hidden="false" outlineLevel="0" max="4" min="4" style="0" width="60"/>
    <col collapsed="false" customWidth="true" hidden="false" outlineLevel="0" max="5" min="5" style="0" width="4"/>
  </cols>
  <sheetData>
    <row r="1" customFormat="false" ht="22.05" hidden="false" customHeight="false" outlineLevel="0" collapsed="false">
      <c r="A1" s="19" t="s">
        <v>142</v>
      </c>
      <c r="B1" s="19"/>
      <c r="C1" s="19"/>
      <c r="D1" s="19"/>
      <c r="E1" s="19"/>
    </row>
    <row r="2" customFormat="false" ht="15" hidden="false" customHeight="false" outlineLevel="0" collapsed="false">
      <c r="A2" s="2" t="s">
        <v>143</v>
      </c>
      <c r="B2" s="2"/>
      <c r="C2" s="2"/>
      <c r="D2" s="2"/>
      <c r="E2" s="2"/>
    </row>
    <row r="4" customFormat="false" ht="15" hidden="false" customHeight="false" outlineLevel="0" collapsed="false">
      <c r="A4" s="12" t="s">
        <v>144</v>
      </c>
      <c r="B4" s="12"/>
      <c r="C4" s="12"/>
      <c r="D4" s="12"/>
    </row>
    <row r="5" customFormat="false" ht="24" hidden="false" customHeight="true" outlineLevel="0" collapsed="false">
      <c r="A5" s="20" t="s">
        <v>145</v>
      </c>
      <c r="B5" s="20"/>
      <c r="C5" s="20"/>
      <c r="D5" s="20"/>
    </row>
    <row r="6" customFormat="false" ht="24" hidden="false" customHeight="true" outlineLevel="0" collapsed="false">
      <c r="A6" s="20" t="s">
        <v>146</v>
      </c>
      <c r="B6" s="20"/>
      <c r="C6" s="20"/>
      <c r="D6" s="20"/>
    </row>
    <row r="7" customFormat="false" ht="24" hidden="false" customHeight="true" outlineLevel="0" collapsed="false">
      <c r="A7" s="20" t="s">
        <v>147</v>
      </c>
      <c r="B7" s="20"/>
      <c r="C7" s="20"/>
      <c r="D7" s="20"/>
    </row>
    <row r="8" customFormat="false" ht="24" hidden="false" customHeight="true" outlineLevel="0" collapsed="false">
      <c r="A8" s="20" t="s">
        <v>148</v>
      </c>
      <c r="B8" s="20"/>
      <c r="C8" s="20"/>
      <c r="D8" s="20"/>
    </row>
    <row r="9" customFormat="false" ht="24" hidden="false" customHeight="true" outlineLevel="0" collapsed="false">
      <c r="A9" s="20" t="s">
        <v>149</v>
      </c>
      <c r="B9" s="20"/>
      <c r="C9" s="20"/>
      <c r="D9" s="20"/>
    </row>
    <row r="10" customFormat="false" ht="24" hidden="false" customHeight="true" outlineLevel="0" collapsed="false">
      <c r="A10" s="20" t="s">
        <v>150</v>
      </c>
      <c r="B10" s="20"/>
      <c r="C10" s="20"/>
      <c r="D10" s="20"/>
    </row>
    <row r="12" customFormat="false" ht="15" hidden="false" customHeight="false" outlineLevel="0" collapsed="false">
      <c r="A12" s="12" t="s">
        <v>151</v>
      </c>
      <c r="B12" s="12"/>
      <c r="C12" s="12"/>
      <c r="D12" s="12"/>
    </row>
    <row r="13" customFormat="false" ht="30" hidden="false" customHeight="true" outlineLevel="0" collapsed="false">
      <c r="A13" s="3" t="s">
        <v>117</v>
      </c>
      <c r="B13" s="3" t="s">
        <v>152</v>
      </c>
      <c r="C13" s="3" t="s">
        <v>153</v>
      </c>
      <c r="D13" s="3" t="s">
        <v>154</v>
      </c>
    </row>
    <row r="14" customFormat="false" ht="39.75" hidden="false" customHeight="true" outlineLevel="0" collapsed="false">
      <c r="A14" s="5" t="s">
        <v>76</v>
      </c>
      <c r="B14" s="5" t="s">
        <v>155</v>
      </c>
      <c r="C14" s="21" t="s">
        <v>156</v>
      </c>
      <c r="D14" s="5" t="s">
        <v>157</v>
      </c>
    </row>
    <row r="15" customFormat="false" ht="39.75" hidden="false" customHeight="true" outlineLevel="0" collapsed="false">
      <c r="A15" s="5" t="s">
        <v>65</v>
      </c>
      <c r="B15" s="5" t="s">
        <v>158</v>
      </c>
      <c r="C15" s="21" t="s">
        <v>159</v>
      </c>
      <c r="D15" s="5" t="s">
        <v>160</v>
      </c>
    </row>
    <row r="16" customFormat="false" ht="39.75" hidden="false" customHeight="true" outlineLevel="0" collapsed="false">
      <c r="A16" s="5" t="s">
        <v>53</v>
      </c>
      <c r="B16" s="5" t="s">
        <v>161</v>
      </c>
      <c r="C16" s="21" t="s">
        <v>162</v>
      </c>
      <c r="D16" s="5" t="s">
        <v>163</v>
      </c>
    </row>
    <row r="17" customFormat="false" ht="39.75" hidden="false" customHeight="true" outlineLevel="0" collapsed="false">
      <c r="A17" s="5" t="s">
        <v>41</v>
      </c>
      <c r="B17" s="5" t="s">
        <v>164</v>
      </c>
      <c r="C17" s="21" t="s">
        <v>165</v>
      </c>
      <c r="D17" s="5" t="s">
        <v>166</v>
      </c>
    </row>
    <row r="18" customFormat="false" ht="39.75" hidden="false" customHeight="true" outlineLevel="0" collapsed="false">
      <c r="A18" s="5" t="s">
        <v>27</v>
      </c>
      <c r="B18" s="5" t="s">
        <v>167</v>
      </c>
      <c r="C18" s="21" t="s">
        <v>168</v>
      </c>
      <c r="D18" s="5" t="s">
        <v>169</v>
      </c>
    </row>
    <row r="19" customFormat="false" ht="39.75" hidden="false" customHeight="true" outlineLevel="0" collapsed="false">
      <c r="A19" s="22" t="s">
        <v>85</v>
      </c>
      <c r="B19" s="22" t="s">
        <v>170</v>
      </c>
      <c r="C19" s="23" t="s">
        <v>171</v>
      </c>
      <c r="D19" s="22" t="s">
        <v>172</v>
      </c>
    </row>
    <row r="20" customFormat="false" ht="39.75" hidden="false" customHeight="true" outlineLevel="0" collapsed="false">
      <c r="A20" s="22" t="s">
        <v>96</v>
      </c>
      <c r="B20" s="22" t="s">
        <v>173</v>
      </c>
      <c r="C20" s="23" t="s">
        <v>174</v>
      </c>
      <c r="D20" s="22" t="s">
        <v>175</v>
      </c>
    </row>
    <row r="28" customFormat="false" ht="15" hidden="false" customHeight="false" outlineLevel="0" collapsed="false">
      <c r="A28" s="2" t="s">
        <v>176</v>
      </c>
      <c r="B28" s="2"/>
      <c r="C28" s="2"/>
      <c r="D28" s="2"/>
    </row>
    <row r="29" customFormat="false" ht="15" hidden="false" customHeight="false" outlineLevel="0" collapsed="false">
      <c r="B29" s="3" t="s">
        <v>117</v>
      </c>
      <c r="C29" s="3" t="s">
        <v>177</v>
      </c>
    </row>
    <row r="30" customFormat="false" ht="15" hidden="false" customHeight="false" outlineLevel="0" collapsed="false">
      <c r="B30" s="4" t="s">
        <v>76</v>
      </c>
      <c r="C30" s="24" t="n">
        <v>0.1</v>
      </c>
    </row>
    <row r="31" customFormat="false" ht="15" hidden="false" customHeight="false" outlineLevel="0" collapsed="false">
      <c r="B31" s="4" t="s">
        <v>65</v>
      </c>
      <c r="C31" s="24" t="n">
        <v>0.25</v>
      </c>
    </row>
    <row r="32" customFormat="false" ht="15" hidden="false" customHeight="false" outlineLevel="0" collapsed="false">
      <c r="B32" s="4" t="s">
        <v>53</v>
      </c>
      <c r="C32" s="24" t="n">
        <v>0.5</v>
      </c>
    </row>
    <row r="33" customFormat="false" ht="15" hidden="false" customHeight="false" outlineLevel="0" collapsed="false">
      <c r="B33" s="4" t="s">
        <v>41</v>
      </c>
      <c r="C33" s="24" t="n">
        <v>0.7</v>
      </c>
    </row>
    <row r="34" customFormat="false" ht="15" hidden="false" customHeight="false" outlineLevel="0" collapsed="false">
      <c r="B34" s="4" t="s">
        <v>27</v>
      </c>
      <c r="C34" s="24" t="n">
        <v>0.85</v>
      </c>
    </row>
    <row r="35" customFormat="false" ht="15" hidden="false" customHeight="false" outlineLevel="0" collapsed="false">
      <c r="B35" s="4" t="s">
        <v>85</v>
      </c>
      <c r="C35" s="24" t="n">
        <v>1</v>
      </c>
    </row>
    <row r="36" customFormat="false" ht="15" hidden="false" customHeight="false" outlineLevel="0" collapsed="false">
      <c r="B36" s="4" t="s">
        <v>96</v>
      </c>
      <c r="C36" s="24" t="n">
        <v>0</v>
      </c>
    </row>
    <row r="38" customFormat="false" ht="15" hidden="false" customHeight="false" outlineLevel="0" collapsed="false">
      <c r="A38" s="12" t="s">
        <v>178</v>
      </c>
      <c r="B38" s="12"/>
      <c r="C38" s="12"/>
      <c r="D38" s="12"/>
    </row>
    <row r="39" customFormat="false" ht="36" hidden="false" customHeight="true" outlineLevel="0" collapsed="false">
      <c r="A39" s="20" t="s">
        <v>179</v>
      </c>
      <c r="B39" s="20"/>
      <c r="C39" s="20"/>
      <c r="D39" s="20"/>
    </row>
    <row r="40" customFormat="false" ht="36" hidden="false" customHeight="true" outlineLevel="0" collapsed="false">
      <c r="A40" s="20" t="s">
        <v>180</v>
      </c>
      <c r="B40" s="20"/>
      <c r="C40" s="20"/>
      <c r="D40" s="20"/>
    </row>
    <row r="41" customFormat="false" ht="36" hidden="false" customHeight="true" outlineLevel="0" collapsed="false">
      <c r="A41" s="20" t="s">
        <v>181</v>
      </c>
      <c r="B41" s="20"/>
      <c r="C41" s="20"/>
      <c r="D41" s="20"/>
    </row>
    <row r="42" customFormat="false" ht="36" hidden="false" customHeight="true" outlineLevel="0" collapsed="false">
      <c r="A42" s="20" t="s">
        <v>182</v>
      </c>
      <c r="B42" s="20"/>
      <c r="C42" s="20"/>
      <c r="D42" s="20"/>
    </row>
    <row r="43" customFormat="false" ht="36" hidden="false" customHeight="true" outlineLevel="0" collapsed="false">
      <c r="A43" s="20" t="s">
        <v>183</v>
      </c>
      <c r="B43" s="20"/>
      <c r="C43" s="20"/>
      <c r="D43" s="20"/>
    </row>
    <row r="44" customFormat="false" ht="36" hidden="false" customHeight="true" outlineLevel="0" collapsed="false">
      <c r="A44" s="20" t="s">
        <v>184</v>
      </c>
      <c r="B44" s="20"/>
      <c r="C44" s="20"/>
      <c r="D44" s="20"/>
    </row>
  </sheetData>
  <mergeCells count="18">
    <mergeCell ref="A1:E1"/>
    <mergeCell ref="A2:E2"/>
    <mergeCell ref="A4:D4"/>
    <mergeCell ref="A5:D5"/>
    <mergeCell ref="A6:D6"/>
    <mergeCell ref="A7:D7"/>
    <mergeCell ref="A8:D8"/>
    <mergeCell ref="A9:D9"/>
    <mergeCell ref="A10:D10"/>
    <mergeCell ref="A12:D12"/>
    <mergeCell ref="A28:D28"/>
    <mergeCell ref="A38:D38"/>
    <mergeCell ref="A39:D39"/>
    <mergeCell ref="A40:D40"/>
    <mergeCell ref="A41:D41"/>
    <mergeCell ref="A42:D42"/>
    <mergeCell ref="A43:D43"/>
    <mergeCell ref="A44:D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07CD9A300164F9A0C9F60C1F451CE" ma:contentTypeVersion="16" ma:contentTypeDescription="Crie um novo documento." ma:contentTypeScope="" ma:versionID="6ad540db23f66a55fbf4042db9333136">
  <xsd:schema xmlns:xsd="http://www.w3.org/2001/XMLSchema" xmlns:xs="http://www.w3.org/2001/XMLSchema" xmlns:p="http://schemas.microsoft.com/office/2006/metadata/properties" xmlns:ns2="145d86be-3981-48b2-81dd-5c1273c1f72f" xmlns:ns3="7d6a1d81-ebe6-4f3a-b506-94fd4d97f142" targetNamespace="http://schemas.microsoft.com/office/2006/metadata/properties" ma:root="true" ma:fieldsID="914d80bed9fb1a601b4fcaaca18559bc" ns2:_="" ns3:_="">
    <xsd:import namespace="145d86be-3981-48b2-81dd-5c1273c1f72f"/>
    <xsd:import namespace="7d6a1d81-ebe6-4f3a-b506-94fd4d97f1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d86be-3981-48b2-81dd-5c1273c1f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e160d563-b87e-4e36-88fc-71e4146b87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a1d81-ebe6-4f3a-b506-94fd4d97f1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b0f5c86-241d-48ac-924e-b49d6b0eb69a}" ma:internalName="TaxCatchAll" ma:showField="CatchAllData" ma:web="7d6a1d81-ebe6-4f3a-b506-94fd4d97f1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6a1d81-ebe6-4f3a-b506-94fd4d97f142" xsi:nil="true"/>
    <lcf76f155ced4ddcb4097134ff3c332f xmlns="145d86be-3981-48b2-81dd-5c1273c1f7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7A658C-C18C-4D87-BEAF-73C9E59E5034}"/>
</file>

<file path=customXml/itemProps2.xml><?xml version="1.0" encoding="utf-8"?>
<ds:datastoreItem xmlns:ds="http://schemas.openxmlformats.org/officeDocument/2006/customXml" ds:itemID="{48214EA3-DE5F-4801-AAD4-3309D4C8F7A8}"/>
</file>

<file path=customXml/itemProps3.xml><?xml version="1.0" encoding="utf-8"?>
<ds:datastoreItem xmlns:ds="http://schemas.openxmlformats.org/officeDocument/2006/customXml" ds:itemID="{3D8E92E6-6204-497F-B8D2-7BB3C27966B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1</cp:revision>
  <dcterms:created xsi:type="dcterms:W3CDTF">2026-05-15T15:27:53Z</dcterms:created>
  <dcterms:modified xsi:type="dcterms:W3CDTF">2026-05-15T15:28:10Z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0x01010066507CD9A300164F9A0C9F60C1F451CE</vt:lpwstr>
  </property>
</Properties>
</file>